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/Desktop/"/>
    </mc:Choice>
  </mc:AlternateContent>
  <xr:revisionPtr revIDLastSave="0" documentId="8_{4076F028-0EEF-B949-9F42-6C3A3E07C932}" xr6:coauthVersionLast="45" xr6:coauthVersionMax="45" xr10:uidLastSave="{00000000-0000-0000-0000-000000000000}"/>
  <bookViews>
    <workbookView xWindow="0" yWindow="460" windowWidth="28800" windowHeight="12340" xr2:uid="{00000000-000D-0000-FFFF-FFFF00000000}"/>
  </bookViews>
  <sheets>
    <sheet name="VC Rating Method | Venionaire" sheetId="1" r:id="rId1"/>
  </sheets>
  <definedNames>
    <definedName name="_xlnm._FilterDatabase" localSheetId="0" hidden="1">'VC Rating Method | Venionaire'!$B$15:$H$22</definedName>
    <definedName name="_xlnm.Print_Area" localSheetId="0">'VC Rating Method | Venionaire'!$A$1:$I$86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1" l="1"/>
  <c r="R18" i="1"/>
  <c r="R19" i="1"/>
  <c r="R16" i="1"/>
  <c r="R22" i="1"/>
  <c r="R20" i="1"/>
  <c r="R21" i="1"/>
  <c r="S16" i="1"/>
  <c r="T16" i="1"/>
  <c r="U16" i="1"/>
  <c r="V16" i="1"/>
  <c r="W16" i="1"/>
  <c r="X16" i="1"/>
  <c r="Y16" i="1"/>
  <c r="Z16" i="1"/>
  <c r="E16" i="1" l="1"/>
  <c r="H21" i="1" l="1"/>
  <c r="H20" i="1"/>
  <c r="H19" i="1"/>
  <c r="H18" i="1"/>
  <c r="H17" i="1"/>
  <c r="H16" i="1"/>
  <c r="O22" i="1"/>
  <c r="O23" i="1"/>
  <c r="N23" i="1"/>
  <c r="E17" i="1"/>
  <c r="E18" i="1"/>
  <c r="E19" i="1"/>
  <c r="E20" i="1"/>
  <c r="E21" i="1"/>
  <c r="L23" i="1"/>
  <c r="D8" i="1"/>
  <c r="H23" i="1"/>
  <c r="G16" i="1"/>
  <c r="G21" i="1"/>
  <c r="G20" i="1"/>
  <c r="G19" i="1"/>
  <c r="G18" i="1"/>
  <c r="G17" i="1"/>
  <c r="M23" i="1"/>
  <c r="M22" i="1"/>
  <c r="N22" i="1"/>
  <c r="L22" i="1"/>
  <c r="H8" i="1" l="1"/>
  <c r="H22" i="1"/>
  <c r="H9" i="1" s="1"/>
  <c r="H24" i="1" l="1"/>
  <c r="H25" i="1" s="1"/>
</calcChain>
</file>

<file path=xl/sharedStrings.xml><?xml version="1.0" encoding="utf-8"?>
<sst xmlns="http://schemas.openxmlformats.org/spreadsheetml/2006/main" count="53" uniqueCount="47">
  <si>
    <t>www.venionaire.com</t>
  </si>
  <si>
    <t>Investment</t>
  </si>
  <si>
    <t>% of shares</t>
  </si>
  <si>
    <t>How to use the calculator:</t>
  </si>
  <si>
    <t>Stage</t>
  </si>
  <si>
    <t>Avg. Valuation</t>
  </si>
  <si>
    <t>Seed</t>
  </si>
  <si>
    <t>Investment (total round)</t>
  </si>
  <si>
    <t>STARTUP RATING METHOD</t>
  </si>
  <si>
    <t>by Venionaire Capital</t>
  </si>
  <si>
    <t>Startup Rating</t>
  </si>
  <si>
    <t>Revenue generation</t>
  </si>
  <si>
    <t>Market perception</t>
  </si>
  <si>
    <t>Team quality</t>
  </si>
  <si>
    <t>Financial data proof</t>
  </si>
  <si>
    <t xml:space="preserve">1.) Choose stage for company in "C8" [use list] </t>
  </si>
  <si>
    <t>2.) Type average valuation in "C9".</t>
  </si>
  <si>
    <t>5.) Type in your intended investment in cell "C10".</t>
  </si>
  <si>
    <t>(i) Based on comparable deals.</t>
  </si>
  <si>
    <t>Ranking - Index weights</t>
  </si>
  <si>
    <t>Max. Premium</t>
  </si>
  <si>
    <t>(i) Maximum Premium to be added for companies far above average (rating).</t>
  </si>
  <si>
    <t>Premium / Discount</t>
  </si>
  <si>
    <t>Free Calculator provided by Venionaire Capital              |</t>
  </si>
  <si>
    <t>4.) Write arguments why this score is justified</t>
  </si>
  <si>
    <t>Growth objectives / risks</t>
  </si>
  <si>
    <t>Reducing technology risks</t>
  </si>
  <si>
    <t>3.) Set "score" for each "value driver" in Column "D" [select from pre-set parameters: 1 - 5]</t>
  </si>
  <si>
    <t xml:space="preserve">VALUE DRIVERS </t>
  </si>
  <si>
    <t xml:space="preserve">OBJECTIVES </t>
  </si>
  <si>
    <t>SCORE</t>
  </si>
  <si>
    <t>DEFINITION</t>
  </si>
  <si>
    <t>SCORE ARGUMENTS</t>
  </si>
  <si>
    <t>WEIGHT</t>
  </si>
  <si>
    <t>VALUE</t>
  </si>
  <si>
    <t>TEAM</t>
  </si>
  <si>
    <t>MARKET</t>
  </si>
  <si>
    <t>PRODUCT &amp;
BUSINESS MODEL</t>
  </si>
  <si>
    <t>TECHNOLOGY</t>
  </si>
  <si>
    <t xml:space="preserve">SCALABILITY </t>
  </si>
  <si>
    <t>KPIS</t>
  </si>
  <si>
    <t>PRE-SEED</t>
  </si>
  <si>
    <t>SEED</t>
  </si>
  <si>
    <t>SERIES A</t>
  </si>
  <si>
    <t>SERIES B</t>
  </si>
  <si>
    <t xml:space="preserve">PRE-MONEY VALUATION </t>
  </si>
  <si>
    <t>POST-MONEY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</si>
</sst>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.##0.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1"/>
      <color theme="1"/>
      <name val="Abadi"/>
      <family val="2"/>
    </font>
    <font>
      <b/>
      <sz val="16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7" fillId="2" borderId="0" xfId="0" applyFont="1" applyFill="1" applyBorder="1" applyAlignment="1" applyProtection="1">
      <alignment horizontal="right"/>
    </xf>
    <xf numFmtId="0" fontId="6" fillId="2" borderId="0" xfId="4" applyFill="1" applyBorder="1" applyProtection="1"/>
    <xf numFmtId="0" fontId="0" fillId="2" borderId="1" xfId="0" applyFill="1" applyBorder="1" applyProtection="1"/>
    <xf numFmtId="0" fontId="0" fillId="0" borderId="0" xfId="0" applyProtection="1"/>
    <xf numFmtId="0" fontId="0" fillId="2" borderId="0" xfId="0" applyFill="1" applyBorder="1" applyAlignment="1" applyProtection="1">
      <alignment horizontal="center"/>
    </xf>
    <xf numFmtId="0" fontId="6" fillId="2" borderId="0" xfId="4" applyFill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right"/>
    </xf>
    <xf numFmtId="165" fontId="9" fillId="2" borderId="0" xfId="1" applyNumberFormat="1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horizontal="center" vertical="top"/>
    </xf>
    <xf numFmtId="0" fontId="10" fillId="2" borderId="1" xfId="0" applyFont="1" applyFill="1" applyBorder="1" applyProtection="1"/>
    <xf numFmtId="0" fontId="8" fillId="2" borderId="1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 vertical="center"/>
    </xf>
    <xf numFmtId="10" fontId="10" fillId="2" borderId="0" xfId="3" applyNumberFormat="1" applyFont="1" applyFill="1" applyBorder="1" applyAlignment="1" applyProtection="1">
      <alignment horizontal="right"/>
    </xf>
    <xf numFmtId="165" fontId="20" fillId="2" borderId="0" xfId="1" applyNumberFormat="1" applyFont="1" applyFill="1" applyBorder="1" applyAlignment="1" applyProtection="1">
      <alignment horizontal="left"/>
    </xf>
    <xf numFmtId="164" fontId="20" fillId="2" borderId="0" xfId="1" applyFont="1" applyFill="1" applyBorder="1" applyAlignment="1" applyProtection="1">
      <alignment horizontal="center"/>
    </xf>
    <xf numFmtId="0" fontId="2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right"/>
    </xf>
    <xf numFmtId="43" fontId="24" fillId="2" borderId="2" xfId="2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/>
    </xf>
    <xf numFmtId="0" fontId="26" fillId="6" borderId="2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Protection="1"/>
    <xf numFmtId="0" fontId="12" fillId="6" borderId="0" xfId="0" applyFont="1" applyFill="1" applyBorder="1" applyProtection="1"/>
    <xf numFmtId="0" fontId="0" fillId="3" borderId="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1" fillId="2" borderId="0" xfId="0" applyFont="1" applyFill="1" applyBorder="1" applyProtection="1">
      <protection locked="0"/>
    </xf>
    <xf numFmtId="0" fontId="11" fillId="2" borderId="0" xfId="0" applyFont="1" applyFill="1" applyProtection="1">
      <protection locked="0"/>
    </xf>
    <xf numFmtId="43" fontId="18" fillId="3" borderId="0" xfId="2" applyFont="1" applyFill="1" applyBorder="1" applyAlignment="1" applyProtection="1">
      <alignment horizontal="center" vertical="top"/>
      <protection locked="0"/>
    </xf>
    <xf numFmtId="43" fontId="10" fillId="5" borderId="0" xfId="2" applyFont="1" applyFill="1" applyBorder="1" applyProtection="1">
      <protection locked="0"/>
    </xf>
    <xf numFmtId="9" fontId="10" fillId="5" borderId="0" xfId="2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Protection="1"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21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</xf>
    <xf numFmtId="164" fontId="14" fillId="0" borderId="0" xfId="0" applyNumberFormat="1" applyFont="1" applyAlignment="1" applyProtection="1">
      <alignment horizontal="center" vertical="center"/>
    </xf>
    <xf numFmtId="9" fontId="1" fillId="2" borderId="2" xfId="3" applyFont="1" applyFill="1" applyBorder="1" applyAlignment="1" applyProtection="1">
      <alignment horizontal="center" vertical="center" wrapText="1"/>
    </xf>
    <xf numFmtId="164" fontId="10" fillId="2" borderId="0" xfId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0" fillId="6" borderId="0" xfId="0" applyFill="1" applyProtection="1"/>
    <xf numFmtId="0" fontId="25" fillId="2" borderId="0" xfId="0" applyFont="1" applyFill="1" applyBorder="1" applyProtection="1"/>
    <xf numFmtId="0" fontId="11" fillId="2" borderId="0" xfId="0" applyFont="1" applyFill="1" applyProtection="1"/>
    <xf numFmtId="0" fontId="21" fillId="2" borderId="0" xfId="0" applyFont="1" applyFill="1" applyProtection="1"/>
    <xf numFmtId="0" fontId="22" fillId="2" borderId="0" xfId="0" applyFont="1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9" fontId="7" fillId="4" borderId="5" xfId="0" applyNumberFormat="1" applyFont="1" applyFill="1" applyBorder="1" applyProtection="1"/>
    <xf numFmtId="9" fontId="7" fillId="2" borderId="5" xfId="0" applyNumberFormat="1" applyFont="1" applyFill="1" applyBorder="1" applyProtection="1"/>
    <xf numFmtId="0" fontId="21" fillId="2" borderId="0" xfId="0" applyFont="1" applyFill="1" applyAlignment="1" applyProtection="1">
      <alignment vertical="center"/>
    </xf>
    <xf numFmtId="9" fontId="21" fillId="2" borderId="0" xfId="0" applyNumberFormat="1" applyFont="1" applyFill="1" applyBorder="1" applyProtection="1"/>
    <xf numFmtId="0" fontId="7" fillId="2" borderId="3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left"/>
    </xf>
  </cellXfs>
  <cellStyles count="5">
    <cellStyle name="Komma" xfId="2" builtinId="3"/>
    <cellStyle name="Link" xfId="4" builtinId="8"/>
    <cellStyle name="Prozent" xfId="3" builtinId="5"/>
    <cellStyle name="Standard" xfId="0" builtinId="0"/>
    <cellStyle name="Währung" xfId="1" builtinId="4"/>
  </cellStyles>
  <dxfs count="2">
    <dxf>
      <font>
        <strike val="0"/>
      </font>
      <numFmt numFmtId="166" formatCode="&quot;€&quot;\ #,##0.00"/>
      <fill>
        <patternFill patternType="lightVertical">
          <fgColor theme="0"/>
          <bgColor theme="9" tint="0.79998168889431442"/>
        </patternFill>
      </fill>
    </dxf>
    <dxf>
      <font>
        <strike val="0"/>
        <color theme="1"/>
      </font>
      <fill>
        <patternFill patternType="lightVertical">
          <fgColor theme="0"/>
          <bgColor rgb="FFFFC000"/>
        </patternFill>
      </fill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</xdr:row>
      <xdr:rowOff>9524</xdr:rowOff>
    </xdr:from>
    <xdr:to>
      <xdr:col>2</xdr:col>
      <xdr:colOff>445417</xdr:colOff>
      <xdr:row>4</xdr:row>
      <xdr:rowOff>19049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659AB9-9926-471B-9445-88C2E7C5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6699"/>
          <a:ext cx="213134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nionair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5"/>
  <sheetViews>
    <sheetView tabSelected="1" topLeftCell="A13" zoomScale="70" zoomScaleNormal="70" workbookViewId="0">
      <selection activeCell="M28" sqref="M28"/>
    </sheetView>
  </sheetViews>
  <sheetFormatPr baseColWidth="10" defaultColWidth="11.5" defaultRowHeight="15"/>
  <cols>
    <col min="1" max="1" width="3.5" style="34" customWidth="1"/>
    <col min="2" max="2" width="28.5" style="35" customWidth="1"/>
    <col min="3" max="3" width="29.5" style="35" customWidth="1"/>
    <col min="4" max="4" width="25.5" style="35" customWidth="1"/>
    <col min="5" max="5" width="18.83203125" style="35" customWidth="1"/>
    <col min="6" max="6" width="45.5" style="35" customWidth="1"/>
    <col min="7" max="7" width="22.5" style="35" customWidth="1"/>
    <col min="8" max="8" width="36.5" style="35" customWidth="1"/>
    <col min="9" max="10" width="12" style="35" customWidth="1"/>
    <col min="11" max="11" width="17.1640625" style="35" customWidth="1"/>
    <col min="12" max="12" width="13.83203125" style="35" bestFit="1" customWidth="1"/>
    <col min="13" max="13" width="11.5" style="35"/>
    <col min="14" max="15" width="12.5" style="34" bestFit="1" customWidth="1"/>
    <col min="16" max="16384" width="11.5" style="34"/>
  </cols>
  <sheetData>
    <row r="1" spans="1:28" ht="5.25" customHeight="1">
      <c r="B1" s="32"/>
      <c r="C1" s="32"/>
      <c r="D1" s="32"/>
      <c r="E1" s="32"/>
      <c r="F1" s="32"/>
      <c r="G1" s="32"/>
      <c r="H1" s="32"/>
      <c r="I1" s="33"/>
      <c r="J1" s="33"/>
      <c r="K1" s="33"/>
      <c r="L1" s="34"/>
      <c r="M1" s="34"/>
    </row>
    <row r="2" spans="1:28"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4"/>
    </row>
    <row r="3" spans="1:28">
      <c r="A3" s="3"/>
      <c r="B3" s="1"/>
      <c r="C3" s="1"/>
      <c r="D3" s="1"/>
      <c r="E3" s="3"/>
      <c r="F3" s="1"/>
      <c r="G3" s="1"/>
      <c r="H3" s="7"/>
      <c r="I3" s="33"/>
      <c r="J3" s="33"/>
      <c r="K3" s="33"/>
      <c r="L3" s="34"/>
      <c r="M3" s="34"/>
    </row>
    <row r="4" spans="1:28" ht="29">
      <c r="A4" s="3"/>
      <c r="B4" s="1"/>
      <c r="C4" s="1"/>
      <c r="D4" s="1"/>
      <c r="E4" s="1"/>
      <c r="F4" s="1"/>
      <c r="G4" s="1"/>
      <c r="H4" s="11" t="s">
        <v>8</v>
      </c>
      <c r="I4" s="36"/>
      <c r="J4" s="36"/>
      <c r="K4" s="36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21">
      <c r="A5" s="3"/>
      <c r="B5" s="1"/>
      <c r="C5" s="1"/>
      <c r="D5" s="1"/>
      <c r="E5" s="1"/>
      <c r="F5" s="1"/>
      <c r="G5" s="1"/>
      <c r="H5" s="26" t="s">
        <v>9</v>
      </c>
      <c r="I5" s="36"/>
      <c r="J5" s="36"/>
      <c r="K5" s="36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29">
      <c r="A6" s="3"/>
      <c r="B6" s="1"/>
      <c r="C6" s="1"/>
      <c r="D6" s="1"/>
      <c r="E6" s="1"/>
      <c r="F6" s="1"/>
      <c r="G6" s="1"/>
      <c r="H6" s="11"/>
      <c r="I6" s="36"/>
      <c r="J6" s="36"/>
      <c r="K6" s="36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29">
      <c r="A7" s="3"/>
      <c r="B7" s="1"/>
      <c r="C7" s="1"/>
      <c r="D7" s="1"/>
      <c r="E7" s="1"/>
      <c r="F7" s="1"/>
      <c r="G7" s="1"/>
      <c r="H7" s="11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ht="24">
      <c r="B8" s="17" t="s">
        <v>4</v>
      </c>
      <c r="C8" s="38" t="s">
        <v>6</v>
      </c>
      <c r="D8" s="66" t="str">
        <f xml:space="preserve"> IF(C8="Pre-Seed","(i) Pre launch company, no revenues, idea stage",IF(C8="Seed","(i) Early stage, prototype, market testing",IF(C8="Series A","(i) Early growth, KPIs indicate expansion potential",IF(C8="Series B","(i) Growth KPIs work, investment will fuel international growth","N/A"))))</f>
        <v>(i) Early stage, prototype, market testing</v>
      </c>
      <c r="E8" s="66"/>
      <c r="F8" s="66"/>
      <c r="G8" s="28" t="s">
        <v>10</v>
      </c>
      <c r="H8" s="50" t="str">
        <f>IF(SUMPRODUCT($G$16:$G$21,$D$16:$D$21)&gt;4.75,"VAAA (very strong)",IF(SUMPRODUCT($G$16:$G$21,$D$16:$D$21)&gt;4.5,"VAA (strong)",IF(SUMPRODUCT($G$16:$G$21,$D$16:$D$21)&gt;3.5,"VA (above average)",IF(SUMPRODUCT($G$16:$G$21,$D$16:$D$21)&gt;3,"V (average)",IF(SUMPRODUCT($G$16:$G$21,$D$16:$D$21)&gt;2,"VR (very risky)","ER (extremely risky)")))))</f>
        <v>VA (above average)</v>
      </c>
      <c r="I8" s="36"/>
      <c r="J8" s="36"/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ht="21">
      <c r="B9" s="15" t="s">
        <v>5</v>
      </c>
      <c r="C9" s="39">
        <v>2000000</v>
      </c>
      <c r="D9" s="66" t="s">
        <v>18</v>
      </c>
      <c r="E9" s="66"/>
      <c r="F9" s="66"/>
      <c r="G9" s="16" t="s">
        <v>22</v>
      </c>
      <c r="H9" s="51">
        <f>H22-C9</f>
        <v>400000</v>
      </c>
      <c r="I9" s="36"/>
      <c r="J9" s="36"/>
      <c r="K9" s="36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29.25" customHeight="1">
      <c r="B10" s="15" t="s">
        <v>7</v>
      </c>
      <c r="C10" s="39">
        <v>500000</v>
      </c>
      <c r="D10" s="18"/>
      <c r="E10" s="18"/>
      <c r="F10" s="3"/>
      <c r="G10" s="1"/>
      <c r="H10" s="11"/>
      <c r="I10" s="36"/>
      <c r="J10" s="36"/>
      <c r="K10" s="36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29.25" customHeight="1">
      <c r="B11" s="15" t="s">
        <v>20</v>
      </c>
      <c r="C11" s="40">
        <v>0.4</v>
      </c>
      <c r="D11" s="66" t="s">
        <v>21</v>
      </c>
      <c r="E11" s="66"/>
      <c r="F11" s="66"/>
      <c r="G11" s="1"/>
      <c r="H11" s="11"/>
      <c r="I11" s="36"/>
      <c r="J11" s="36"/>
      <c r="K11" s="36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" customHeight="1">
      <c r="B12" s="19"/>
      <c r="C12" s="19"/>
      <c r="D12" s="6"/>
      <c r="E12" s="6"/>
      <c r="F12" s="6"/>
      <c r="G12" s="6"/>
      <c r="H12" s="20"/>
      <c r="I12" s="36"/>
      <c r="J12" s="36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23.75" customHeight="1">
      <c r="B13" s="1"/>
      <c r="C13" s="1"/>
      <c r="D13" s="1"/>
      <c r="E13" s="1"/>
      <c r="F13" s="1"/>
      <c r="G13" s="1"/>
      <c r="H13" s="1"/>
      <c r="I13" s="36"/>
      <c r="J13" s="54"/>
      <c r="K13" s="56" t="s">
        <v>19</v>
      </c>
      <c r="L13" s="57"/>
      <c r="M13" s="57"/>
      <c r="N13" s="57"/>
      <c r="O13" s="5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>
      <c r="B14" s="1"/>
      <c r="C14" s="1"/>
      <c r="D14" s="1"/>
      <c r="E14" s="1"/>
      <c r="F14" s="1"/>
      <c r="G14" s="1"/>
      <c r="H14" s="1"/>
      <c r="I14" s="36"/>
      <c r="J14" s="54"/>
      <c r="K14" s="54"/>
      <c r="L14" s="57"/>
      <c r="M14" s="57"/>
      <c r="N14" s="57"/>
      <c r="O14" s="5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ht="19">
      <c r="B15" s="2" t="s">
        <v>28</v>
      </c>
      <c r="C15" s="2" t="s">
        <v>29</v>
      </c>
      <c r="D15" s="21" t="s">
        <v>30</v>
      </c>
      <c r="E15" s="2" t="s">
        <v>31</v>
      </c>
      <c r="F15" s="2" t="s">
        <v>32</v>
      </c>
      <c r="G15" s="2" t="s">
        <v>33</v>
      </c>
      <c r="H15" s="2" t="s">
        <v>34</v>
      </c>
      <c r="J15" s="54"/>
      <c r="K15" s="58"/>
      <c r="L15" s="59" t="s">
        <v>41</v>
      </c>
      <c r="M15" s="60" t="s">
        <v>42</v>
      </c>
      <c r="N15" s="60" t="s">
        <v>43</v>
      </c>
      <c r="O15" s="60" t="s">
        <v>44</v>
      </c>
      <c r="P15" s="41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44" customFormat="1" ht="61.5" customHeight="1">
      <c r="B16" s="29" t="s">
        <v>35</v>
      </c>
      <c r="C16" s="13" t="s">
        <v>13</v>
      </c>
      <c r="D16" s="42">
        <v>4</v>
      </c>
      <c r="E16" s="13" t="str">
        <f>IF(D16=1,"VERY WEAK",IF(D16=2,"WEAK",IF(D16=3,"AVERAGE",IF(D16=4,"GOOD",IF(D16=5,"VERY GOOD","")))))</f>
        <v>GOOD</v>
      </c>
      <c r="F16" s="43"/>
      <c r="G16" s="52">
        <f>HLOOKUP($C$8,$L$15:$O$21,2,1=0)</f>
        <v>0.45</v>
      </c>
      <c r="H16" s="27">
        <f>IF(D16=5,($C$9*HLOOKUP($C$8,$L$15:$O$21,2,0=1))*(1+C11),IF(D16=4,($C$9*HLOOKUP($C$8,$L$15:$O$21,2,0=1))*(1+C11/2),IF(D16=3,($C$9*HLOOKUP($C$8,$L$15:$O$21,2,0=1))*1,IF(D16=2,($C$9*HLOOKUP($C$8,$L$15:$O$21,2,0=1))*0.7,0))))</f>
        <v>1080000</v>
      </c>
      <c r="J16" s="54"/>
      <c r="K16" s="14" t="s">
        <v>35</v>
      </c>
      <c r="L16" s="61">
        <v>0.6</v>
      </c>
      <c r="M16" s="62">
        <v>0.45</v>
      </c>
      <c r="N16" s="61">
        <v>0.3</v>
      </c>
      <c r="O16" s="62">
        <v>0.2</v>
      </c>
      <c r="P16" s="45"/>
      <c r="Q16" s="46"/>
      <c r="R16" s="46" t="str">
        <f>UPPER(F22)</f>
        <v xml:space="preserve">PRE-MONEY VALUATION </v>
      </c>
      <c r="S16" s="46" t="str">
        <f t="shared" ref="S16:U16" si="0">UPPER(M15)</f>
        <v>SEED</v>
      </c>
      <c r="T16" s="46" t="str">
        <f t="shared" si="0"/>
        <v>SERIES A</v>
      </c>
      <c r="U16" s="46" t="str">
        <f t="shared" si="0"/>
        <v>SERIES B</v>
      </c>
      <c r="V16" s="46" t="str">
        <f t="shared" ref="V16:Z16" si="1">UPPER(F15)</f>
        <v>SCORE ARGUMENTS</v>
      </c>
      <c r="W16" s="46" t="str">
        <f t="shared" si="1"/>
        <v>WEIGHT</v>
      </c>
      <c r="X16" s="46" t="str">
        <f t="shared" si="1"/>
        <v>VALUE</v>
      </c>
      <c r="Y16" s="46" t="str">
        <f t="shared" si="1"/>
        <v/>
      </c>
      <c r="Z16" s="46" t="str">
        <f t="shared" si="1"/>
        <v/>
      </c>
      <c r="AA16" s="46"/>
      <c r="AB16" s="46"/>
    </row>
    <row r="17" spans="2:28" s="44" customFormat="1" ht="61.5" customHeight="1">
      <c r="B17" s="29" t="s">
        <v>36</v>
      </c>
      <c r="C17" s="13" t="s">
        <v>12</v>
      </c>
      <c r="D17" s="42">
        <v>4</v>
      </c>
      <c r="E17" s="13" t="str">
        <f t="shared" ref="E17:E21" si="2">IF(D17=1,"VERY WEAK",IF(D17=2,"WEAK",IF(D17=3,"AVERAGE",IF(D17=4,"GOOD",IF(D17=5,"VERY GOOD","")))))</f>
        <v>GOOD</v>
      </c>
      <c r="F17" s="43"/>
      <c r="G17" s="52">
        <f>HLOOKUP($C$8,$L$15:$O$21,3,1=0)</f>
        <v>0.1</v>
      </c>
      <c r="H17" s="27">
        <f>IF(D17=5,($C$9*HLOOKUP($C$8,$L$15:$O$21,3,0=1))*(1+C11),IF(D17=4,($C$9*HLOOKUP($C$8,$L$15:$O$21,3,0=1))*(1+C11/2),IF(D17=3,($C$9*HLOOKUP($C$8,$L$15:$O$21,3,0=1))*1,IF(D17=2,($C$9*HLOOKUP($C$8,$L$15:$O$21,3,0=1))*0.7,0))))</f>
        <v>240000</v>
      </c>
      <c r="J17" s="54"/>
      <c r="K17" s="14" t="s">
        <v>36</v>
      </c>
      <c r="L17" s="61">
        <v>0.1</v>
      </c>
      <c r="M17" s="62">
        <v>0.1</v>
      </c>
      <c r="N17" s="61">
        <v>0.1</v>
      </c>
      <c r="O17" s="62">
        <v>0.1</v>
      </c>
      <c r="P17" s="45"/>
      <c r="Q17" s="46"/>
      <c r="R17" s="46" t="str">
        <f t="shared" ref="R17:R19" si="3">UPPER(F23)</f>
        <v>INVESTMENT</v>
      </c>
      <c r="S17" s="46"/>
      <c r="T17" s="46"/>
      <c r="U17" s="46"/>
      <c r="V17" s="46"/>
      <c r="W17" s="46"/>
      <c r="X17" s="46"/>
      <c r="Y17" s="46"/>
      <c r="Z17" s="46"/>
      <c r="AA17" s="46"/>
      <c r="AB17" s="46"/>
    </row>
    <row r="18" spans="2:28" s="44" customFormat="1" ht="61.5" customHeight="1">
      <c r="B18" s="29" t="s">
        <v>37</v>
      </c>
      <c r="C18" s="13" t="s">
        <v>11</v>
      </c>
      <c r="D18" s="42">
        <v>4</v>
      </c>
      <c r="E18" s="13" t="str">
        <f t="shared" si="2"/>
        <v>GOOD</v>
      </c>
      <c r="F18" s="43"/>
      <c r="G18" s="52">
        <f>HLOOKUP($C$8,$L$15:$O$21,4,1=0)</f>
        <v>0.15</v>
      </c>
      <c r="H18" s="27">
        <f>IF(D18=5,($C$9*HLOOKUP($C$8,$L$15:$O$21,4,0=1))*(1+C11),IF(D18=4,($C$9*HLOOKUP($C$8,$L$15:$O$21,4,0=1))*(1+C11/2),IF(D18=3,($C$9*HLOOKUP($C$8,$L$15:$O$21,4,0=1))*1,IF(D18=2,($C$9*HLOOKUP($C$8,$L$15:$O$21,4,0=1))*0.7,0))))</f>
        <v>360000</v>
      </c>
      <c r="J18" s="54"/>
      <c r="K18" s="14" t="s">
        <v>37</v>
      </c>
      <c r="L18" s="61">
        <v>0.1</v>
      </c>
      <c r="M18" s="62">
        <v>0.15</v>
      </c>
      <c r="N18" s="61">
        <v>0.2</v>
      </c>
      <c r="O18" s="62">
        <v>0.15</v>
      </c>
      <c r="P18" s="45"/>
      <c r="Q18" s="46"/>
      <c r="R18" s="46" t="str">
        <f t="shared" si="3"/>
        <v>POST-MONEY VALUATION</v>
      </c>
      <c r="S18" s="46"/>
      <c r="T18" s="46"/>
      <c r="U18" s="46"/>
      <c r="V18" s="46"/>
      <c r="W18" s="46"/>
      <c r="X18" s="46"/>
      <c r="Y18" s="46"/>
      <c r="Z18" s="46"/>
      <c r="AA18" s="46"/>
      <c r="AB18" s="46"/>
    </row>
    <row r="19" spans="2:28" s="47" customFormat="1" ht="78" customHeight="1">
      <c r="B19" s="29" t="s">
        <v>38</v>
      </c>
      <c r="C19" s="13" t="s">
        <v>26</v>
      </c>
      <c r="D19" s="42">
        <v>4</v>
      </c>
      <c r="E19" s="13" t="str">
        <f t="shared" si="2"/>
        <v>GOOD</v>
      </c>
      <c r="F19" s="43"/>
      <c r="G19" s="52">
        <f>HLOOKUP($C$8,$L$15:$O$21,5,1=0)</f>
        <v>0.1</v>
      </c>
      <c r="H19" s="27">
        <f>IF(D19=5,($C$9*HLOOKUP($C$8,$L$15:$O$21,5,0=1))*(1+C11),IF(D19=4,($C$9*HLOOKUP($C$8,$L$15:$O$21,5,0=1))*(1+C11/2),IF(D19=3,($C$9*HLOOKUP($C$8,$L$15:$O$21,5,0=1))*1,IF(D19=2,($C$9*HLOOKUP($C$8,$L$15:$O$21,5,0=1))*0.7,0))))</f>
        <v>240000</v>
      </c>
      <c r="J19" s="54"/>
      <c r="K19" s="14" t="s">
        <v>38</v>
      </c>
      <c r="L19" s="61">
        <v>0.05</v>
      </c>
      <c r="M19" s="62">
        <v>0.1</v>
      </c>
      <c r="N19" s="61">
        <v>0.1</v>
      </c>
      <c r="O19" s="62">
        <v>0.1</v>
      </c>
      <c r="P19" s="48"/>
      <c r="Q19" s="49"/>
      <c r="R19" s="46" t="str">
        <f t="shared" si="3"/>
        <v>% OF SHARES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2:28" s="44" customFormat="1" ht="61.5" customHeight="1">
      <c r="B20" s="29" t="s">
        <v>39</v>
      </c>
      <c r="C20" s="13" t="s">
        <v>25</v>
      </c>
      <c r="D20" s="42">
        <v>4</v>
      </c>
      <c r="E20" s="13" t="str">
        <f t="shared" si="2"/>
        <v>GOOD</v>
      </c>
      <c r="F20" s="43"/>
      <c r="G20" s="52">
        <f>HLOOKUP($C$8,$L$15:$O$21,6,1=0)</f>
        <v>0.1</v>
      </c>
      <c r="H20" s="27">
        <f>IF(D20=5,($C$9*HLOOKUP($C$8,$L$15:$O$21,6,0=1))*(1+C11),IF(D20=4,($C$9*HLOOKUP($C$8,$L$15:$O$21,6,0=1))*(1+C11/2),IF(D20=3,($C$9*HLOOKUP($C$8,$L$15:$O$21,6,0=1))*1,IF(D20=2,($C$9*HLOOKUP($C$8,$L$15:$O$21,6,0=1))*0.7,0))))</f>
        <v>240000</v>
      </c>
      <c r="J20" s="54"/>
      <c r="K20" s="14" t="s">
        <v>39</v>
      </c>
      <c r="L20" s="61">
        <v>0.1</v>
      </c>
      <c r="M20" s="62">
        <v>0.1</v>
      </c>
      <c r="N20" s="61">
        <v>0.15</v>
      </c>
      <c r="O20" s="62">
        <v>0.2</v>
      </c>
      <c r="P20" s="45"/>
      <c r="Q20" s="46"/>
      <c r="R20" s="46" t="str">
        <f t="shared" ref="R20:R21" si="4">UPPER(K19)</f>
        <v>TECHNOLOGY</v>
      </c>
      <c r="S20" s="46"/>
      <c r="T20" s="46"/>
      <c r="U20" s="46"/>
      <c r="V20" s="46"/>
      <c r="W20" s="46"/>
      <c r="X20" s="46"/>
      <c r="Y20" s="46"/>
      <c r="Z20" s="46"/>
      <c r="AA20" s="46"/>
      <c r="AB20" s="46"/>
    </row>
    <row r="21" spans="2:28" s="47" customFormat="1" ht="78" customHeight="1">
      <c r="B21" s="29" t="s">
        <v>40</v>
      </c>
      <c r="C21" s="13" t="s">
        <v>14</v>
      </c>
      <c r="D21" s="42">
        <v>4</v>
      </c>
      <c r="E21" s="13" t="str">
        <f t="shared" si="2"/>
        <v>GOOD</v>
      </c>
      <c r="F21" s="43"/>
      <c r="G21" s="52">
        <f>HLOOKUP($C$8,$L$15:$O$21,7,1=0)</f>
        <v>0.1</v>
      </c>
      <c r="H21" s="27">
        <f>IF(D21=5,($C$9*HLOOKUP($C$8,$L$15:$O$21,7,0=1))*(1+C11),IF(D21=4,($C$9*HLOOKUP($C$8,$L$15:$O$21,7,0=1))*(1+C11/2),IF(D21=3,($C$9*HLOOKUP($C$8,$L$15:$O$21,7,0=1))*1,IF(D21=2,($C$9*HLOOKUP($C$8,$L$15:$O$21,7,0=1))*0.7,0))))</f>
        <v>240000</v>
      </c>
      <c r="I21" s="44"/>
      <c r="J21" s="54"/>
      <c r="K21" s="14" t="s">
        <v>40</v>
      </c>
      <c r="L21" s="61">
        <v>0.05</v>
      </c>
      <c r="M21" s="62">
        <v>0.1</v>
      </c>
      <c r="N21" s="61">
        <v>0.15</v>
      </c>
      <c r="O21" s="62">
        <v>0.25</v>
      </c>
      <c r="P21" s="48"/>
      <c r="Q21" s="49"/>
      <c r="R21" s="46" t="str">
        <f t="shared" si="4"/>
        <v xml:space="preserve">SCALABILITY </v>
      </c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2:28" ht="21">
      <c r="B22" s="65" t="s">
        <v>23</v>
      </c>
      <c r="C22" s="65"/>
      <c r="D22" s="9" t="s">
        <v>0</v>
      </c>
      <c r="E22" s="8"/>
      <c r="F22" s="23" t="s">
        <v>45</v>
      </c>
      <c r="G22" s="23"/>
      <c r="H22" s="24">
        <f>SUM(H16:H21)</f>
        <v>2400000</v>
      </c>
      <c r="I22" s="44"/>
      <c r="J22" s="54"/>
      <c r="K22" s="63"/>
      <c r="L22" s="64">
        <f>SUM(L16:L21)</f>
        <v>1</v>
      </c>
      <c r="M22" s="64">
        <f t="shared" ref="M22:N22" si="5">SUM(M16:M21)</f>
        <v>1</v>
      </c>
      <c r="N22" s="64">
        <f t="shared" si="5"/>
        <v>1</v>
      </c>
      <c r="O22" s="64">
        <f>SUM(O16:O21)</f>
        <v>1</v>
      </c>
      <c r="P22" s="41"/>
      <c r="Q22" s="37"/>
      <c r="R22" s="46" t="str">
        <f>UPPER(K21)</f>
        <v>KPIS</v>
      </c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2:28" ht="19">
      <c r="B23" s="4"/>
      <c r="C23" s="5"/>
      <c r="D23" s="1"/>
      <c r="E23" s="1"/>
      <c r="F23" s="12" t="s">
        <v>1</v>
      </c>
      <c r="G23" s="12"/>
      <c r="H23" s="53">
        <f>C10</f>
        <v>500000</v>
      </c>
      <c r="I23" s="44"/>
      <c r="J23" s="54"/>
      <c r="K23" s="63"/>
      <c r="L23" s="58">
        <f>SUMPRODUCT(L16:L21,D16:D21)</f>
        <v>4</v>
      </c>
      <c r="M23" s="58">
        <f>SUMPRODUCT(M16:M21,D16:D21)</f>
        <v>4</v>
      </c>
      <c r="N23" s="58">
        <f>SUMPRODUCT(N16:N21,D16:D21)</f>
        <v>4</v>
      </c>
      <c r="O23" s="58">
        <f>SUMPRODUCT(O16:O21,D16:D21)</f>
        <v>4</v>
      </c>
      <c r="P23" s="4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2:28" ht="21">
      <c r="B24" s="3"/>
      <c r="C24" s="3"/>
      <c r="D24" s="3"/>
      <c r="E24" s="1"/>
      <c r="F24" s="23" t="s">
        <v>46</v>
      </c>
      <c r="G24" s="23"/>
      <c r="H24" s="24">
        <f>H22+H23</f>
        <v>2900000</v>
      </c>
      <c r="I24" s="44"/>
      <c r="J24" s="36"/>
      <c r="K24" s="48"/>
      <c r="L24" s="41"/>
      <c r="M24" s="41"/>
      <c r="N24" s="41"/>
      <c r="O24" s="41"/>
      <c r="P24" s="41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2:28" ht="19">
      <c r="B25" s="3"/>
      <c r="C25" s="3"/>
      <c r="D25" s="3"/>
      <c r="E25" s="7"/>
      <c r="F25" s="15" t="s">
        <v>2</v>
      </c>
      <c r="G25" s="1"/>
      <c r="H25" s="22">
        <f>H23/H24</f>
        <v>0.17241379310344829</v>
      </c>
      <c r="I25" s="44"/>
      <c r="J25" s="36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2:28" ht="19">
      <c r="B26" s="1"/>
      <c r="C26" s="1"/>
      <c r="D26" s="1"/>
      <c r="E26" s="10"/>
      <c r="F26" s="10"/>
      <c r="G26" s="10"/>
      <c r="H26" s="54"/>
      <c r="I26" s="44"/>
      <c r="J26" s="36"/>
      <c r="K26" s="36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2:28" ht="19">
      <c r="B27" s="1"/>
      <c r="C27" s="1"/>
      <c r="D27" s="1"/>
      <c r="E27" s="1"/>
      <c r="F27" s="10"/>
      <c r="G27" s="10"/>
      <c r="H27" s="10"/>
      <c r="I27" s="44"/>
      <c r="J27" s="36"/>
      <c r="K27" s="36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2:28">
      <c r="B28" s="25" t="s">
        <v>3</v>
      </c>
      <c r="C28" s="1"/>
      <c r="D28" s="1"/>
      <c r="E28" s="1"/>
      <c r="F28" s="1"/>
      <c r="G28" s="1"/>
      <c r="H28" s="1"/>
      <c r="I28" s="44"/>
      <c r="J28" s="36"/>
      <c r="K28" s="36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2:28" ht="26.5" customHeight="1">
      <c r="B29" s="30" t="s">
        <v>15</v>
      </c>
      <c r="C29" s="30"/>
      <c r="D29" s="30"/>
      <c r="E29" s="30"/>
      <c r="F29" s="30"/>
      <c r="G29" s="30"/>
      <c r="H29" s="30"/>
      <c r="I29" s="44"/>
      <c r="J29" s="36"/>
      <c r="K29" s="36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2:28" ht="26.5" customHeight="1">
      <c r="B30" s="31" t="s">
        <v>16</v>
      </c>
      <c r="C30" s="31"/>
      <c r="D30" s="31"/>
      <c r="E30" s="31"/>
      <c r="F30" s="31"/>
      <c r="G30" s="31"/>
      <c r="H30" s="31"/>
      <c r="I30" s="44"/>
      <c r="J30" s="36"/>
      <c r="K30" s="36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2:28" ht="26.5" customHeight="1">
      <c r="B31" s="31" t="s">
        <v>27</v>
      </c>
      <c r="C31" s="31"/>
      <c r="D31" s="31"/>
      <c r="E31" s="31"/>
      <c r="F31" s="31"/>
      <c r="G31" s="31"/>
      <c r="H31" s="31"/>
      <c r="I31" s="44"/>
      <c r="J31" s="36"/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2:28" ht="26.5" customHeight="1">
      <c r="B32" s="31" t="s">
        <v>24</v>
      </c>
      <c r="C32" s="31"/>
      <c r="D32" s="31"/>
      <c r="E32" s="31"/>
      <c r="F32" s="31"/>
      <c r="G32" s="31"/>
      <c r="H32" s="31"/>
      <c r="I32" s="44"/>
      <c r="J32" s="36"/>
      <c r="K32" s="36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2:28" ht="26.5" customHeight="1">
      <c r="B33" s="31" t="s">
        <v>17</v>
      </c>
      <c r="C33" s="31"/>
      <c r="D33" s="31"/>
      <c r="E33" s="31"/>
      <c r="F33" s="31"/>
      <c r="G33" s="31"/>
      <c r="H33" s="31"/>
      <c r="I33" s="44"/>
      <c r="J33" s="36"/>
      <c r="K33" s="36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2:28">
      <c r="B34" s="55"/>
      <c r="C34" s="55"/>
      <c r="D34" s="55"/>
      <c r="E34" s="55"/>
      <c r="F34" s="55"/>
      <c r="G34" s="55"/>
      <c r="H34" s="55"/>
      <c r="I34" s="34"/>
      <c r="J34" s="34"/>
      <c r="K34" s="36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2:28">
      <c r="B35" s="34"/>
      <c r="C35" s="33"/>
      <c r="D35" s="33"/>
      <c r="E35" s="33"/>
      <c r="F35" s="33"/>
      <c r="G35" s="33"/>
      <c r="H35" s="33"/>
      <c r="I35" s="44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2:28">
      <c r="B36" s="34"/>
      <c r="C36" s="34"/>
      <c r="D36" s="34"/>
      <c r="E36" s="34"/>
      <c r="F36" s="34"/>
      <c r="G36" s="34"/>
      <c r="H36" s="34"/>
      <c r="I36" s="44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2:28">
      <c r="B37" s="34"/>
      <c r="C37" s="34"/>
      <c r="D37" s="34"/>
      <c r="E37" s="34"/>
      <c r="F37" s="34"/>
      <c r="G37" s="34"/>
      <c r="H37" s="34"/>
      <c r="I37" s="44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2:28">
      <c r="B38" s="34"/>
      <c r="C38" s="34"/>
      <c r="D38" s="34"/>
      <c r="E38" s="34"/>
      <c r="F38" s="34"/>
      <c r="G38" s="34"/>
      <c r="H38" s="34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2:28">
      <c r="B39" s="34"/>
      <c r="C39" s="34"/>
      <c r="D39" s="34"/>
      <c r="E39" s="34"/>
      <c r="F39" s="34"/>
      <c r="G39" s="34"/>
      <c r="H39" s="34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2:28">
      <c r="B40" s="34"/>
      <c r="C40" s="34"/>
      <c r="D40" s="34"/>
      <c r="E40" s="34"/>
      <c r="F40" s="34"/>
      <c r="G40" s="34"/>
      <c r="H40" s="34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2:28">
      <c r="B41" s="34"/>
      <c r="C41" s="34"/>
      <c r="D41" s="34"/>
      <c r="E41" s="34"/>
      <c r="F41" s="34"/>
      <c r="G41" s="34"/>
      <c r="H41" s="34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2:28">
      <c r="B42" s="34"/>
      <c r="C42" s="34"/>
      <c r="D42" s="34"/>
      <c r="E42" s="34"/>
      <c r="F42" s="34"/>
      <c r="G42" s="34"/>
      <c r="H42" s="34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2:28">
      <c r="B43" s="34"/>
      <c r="C43" s="34"/>
      <c r="D43" s="34"/>
      <c r="E43" s="34"/>
      <c r="F43" s="34"/>
      <c r="G43" s="34"/>
      <c r="H43" s="34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2:28">
      <c r="B44" s="34"/>
      <c r="C44" s="34"/>
      <c r="D44" s="34"/>
      <c r="E44" s="34"/>
      <c r="F44" s="34"/>
      <c r="G44" s="34"/>
      <c r="H44" s="34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2:28">
      <c r="B45" s="34"/>
      <c r="C45" s="34"/>
      <c r="D45" s="34"/>
      <c r="E45" s="34"/>
      <c r="F45" s="34"/>
      <c r="G45" s="34"/>
      <c r="H45" s="34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2:28">
      <c r="B46" s="34"/>
      <c r="C46" s="34"/>
      <c r="D46" s="34"/>
      <c r="E46" s="34"/>
      <c r="F46" s="34"/>
      <c r="G46" s="34"/>
      <c r="H46" s="34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2:28">
      <c r="B47" s="34"/>
      <c r="C47" s="34"/>
      <c r="D47" s="34"/>
      <c r="E47" s="34"/>
      <c r="F47" s="34"/>
      <c r="G47" s="34"/>
      <c r="H47" s="34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2:28">
      <c r="B48" s="34"/>
      <c r="C48" s="34"/>
      <c r="D48" s="34"/>
      <c r="E48" s="34"/>
      <c r="F48" s="34"/>
      <c r="G48" s="34"/>
      <c r="H48" s="34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2:28">
      <c r="B49" s="34"/>
      <c r="C49" s="34"/>
      <c r="D49" s="34"/>
      <c r="E49" s="34"/>
      <c r="F49" s="34"/>
      <c r="G49" s="34"/>
      <c r="H49" s="34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2:28">
      <c r="B50" s="34"/>
      <c r="C50" s="34"/>
      <c r="D50" s="34"/>
      <c r="E50" s="34"/>
      <c r="F50" s="34"/>
      <c r="G50" s="34"/>
      <c r="H50" s="34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2:28">
      <c r="B51" s="34"/>
      <c r="C51" s="34"/>
      <c r="D51" s="34"/>
      <c r="E51" s="34"/>
      <c r="F51" s="34"/>
      <c r="G51" s="34"/>
      <c r="H51" s="34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2:28">
      <c r="B52" s="34"/>
      <c r="C52" s="34"/>
      <c r="D52" s="34"/>
      <c r="E52" s="34"/>
      <c r="F52" s="34"/>
      <c r="G52" s="34"/>
      <c r="H52" s="34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2:28">
      <c r="B53" s="34"/>
      <c r="C53" s="34"/>
      <c r="D53" s="34"/>
      <c r="E53" s="34"/>
      <c r="F53" s="34"/>
      <c r="G53" s="34"/>
      <c r="H53" s="34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2:28">
      <c r="B54" s="34"/>
      <c r="C54" s="34"/>
      <c r="D54" s="34"/>
      <c r="E54" s="34"/>
      <c r="F54" s="34"/>
      <c r="G54" s="34"/>
      <c r="H54" s="34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2:28">
      <c r="B55" s="34"/>
      <c r="C55" s="34"/>
      <c r="D55" s="34"/>
      <c r="E55" s="34"/>
      <c r="F55" s="34"/>
      <c r="G55" s="34"/>
      <c r="H55" s="34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2:28">
      <c r="B56" s="34"/>
      <c r="C56" s="34"/>
      <c r="D56" s="34"/>
      <c r="E56" s="34"/>
      <c r="F56" s="34"/>
      <c r="G56" s="34"/>
      <c r="H56" s="34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2:28">
      <c r="B57" s="34"/>
      <c r="C57" s="34"/>
      <c r="D57" s="34"/>
      <c r="E57" s="34"/>
      <c r="F57" s="34"/>
      <c r="G57" s="34"/>
      <c r="H57" s="34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2:28">
      <c r="B58" s="34"/>
      <c r="C58" s="34"/>
      <c r="D58" s="34"/>
      <c r="E58" s="34"/>
      <c r="F58" s="34"/>
      <c r="G58" s="34"/>
      <c r="H58" s="34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2:28">
      <c r="B59" s="34"/>
      <c r="C59" s="34"/>
      <c r="D59" s="34"/>
      <c r="E59" s="34"/>
      <c r="F59" s="34"/>
      <c r="G59" s="34"/>
      <c r="H59" s="34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2:28">
      <c r="B60" s="34"/>
      <c r="C60" s="34"/>
      <c r="D60" s="34"/>
      <c r="E60" s="34"/>
      <c r="F60" s="34"/>
      <c r="G60" s="34"/>
      <c r="H60" s="34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2:28">
      <c r="B61" s="34"/>
      <c r="C61" s="34"/>
      <c r="D61" s="34"/>
      <c r="E61" s="34"/>
      <c r="F61" s="34"/>
      <c r="G61" s="34"/>
      <c r="H61" s="34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2:28">
      <c r="B62" s="34"/>
      <c r="C62" s="34"/>
      <c r="D62" s="34"/>
      <c r="E62" s="34"/>
      <c r="F62" s="34"/>
      <c r="G62" s="34"/>
      <c r="H62" s="34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2:28">
      <c r="B63" s="34"/>
      <c r="C63" s="34"/>
      <c r="D63" s="34"/>
      <c r="E63" s="34"/>
      <c r="F63" s="34"/>
      <c r="G63" s="34"/>
      <c r="H63" s="34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2:28">
      <c r="B64" s="34"/>
      <c r="C64" s="34"/>
      <c r="D64" s="34"/>
      <c r="E64" s="34"/>
      <c r="F64" s="34"/>
      <c r="G64" s="34"/>
      <c r="H64" s="34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2:28">
      <c r="B65" s="34"/>
      <c r="C65" s="34"/>
      <c r="D65" s="34"/>
      <c r="E65" s="34"/>
      <c r="F65" s="34"/>
      <c r="G65" s="34"/>
      <c r="H65" s="34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2:28">
      <c r="B66" s="34"/>
      <c r="C66" s="34"/>
      <c r="D66" s="34"/>
      <c r="E66" s="34"/>
      <c r="F66" s="34"/>
      <c r="G66" s="34"/>
      <c r="H66" s="34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2:28">
      <c r="B67" s="34"/>
      <c r="C67" s="34"/>
      <c r="D67" s="34"/>
      <c r="E67" s="34"/>
      <c r="F67" s="34"/>
      <c r="G67" s="34"/>
      <c r="H67" s="34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2:28">
      <c r="B68" s="34"/>
      <c r="C68" s="34"/>
      <c r="D68" s="34"/>
      <c r="E68" s="34"/>
      <c r="F68" s="34"/>
      <c r="G68" s="34"/>
      <c r="H68" s="34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2:28">
      <c r="B69" s="34"/>
      <c r="C69" s="34"/>
      <c r="D69" s="34"/>
      <c r="E69" s="34"/>
      <c r="F69" s="34"/>
      <c r="G69" s="34"/>
      <c r="H69" s="34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2:28">
      <c r="B70" s="34"/>
      <c r="C70" s="34"/>
      <c r="D70" s="34"/>
      <c r="E70" s="34"/>
      <c r="F70" s="34"/>
      <c r="G70" s="34"/>
      <c r="H70" s="34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2:28">
      <c r="B71" s="34"/>
      <c r="C71" s="34"/>
      <c r="D71" s="34"/>
      <c r="E71" s="34"/>
      <c r="F71" s="34"/>
      <c r="G71" s="34"/>
      <c r="H71" s="34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2:28">
      <c r="B72" s="34"/>
      <c r="C72" s="34"/>
      <c r="D72" s="34"/>
      <c r="E72" s="34"/>
      <c r="F72" s="34"/>
      <c r="G72" s="34"/>
      <c r="H72" s="34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2:28">
      <c r="B73" s="34"/>
      <c r="C73" s="34"/>
      <c r="D73" s="34"/>
      <c r="E73" s="34"/>
      <c r="F73" s="34"/>
      <c r="G73" s="34"/>
      <c r="H73" s="34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2:28">
      <c r="B74" s="34"/>
      <c r="C74" s="34"/>
      <c r="D74" s="34"/>
      <c r="E74" s="34"/>
      <c r="F74" s="34"/>
      <c r="G74" s="34"/>
      <c r="H74" s="34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2:28">
      <c r="B75" s="34"/>
      <c r="C75" s="34"/>
      <c r="D75" s="34"/>
      <c r="E75" s="34"/>
      <c r="F75" s="34"/>
      <c r="G75" s="34"/>
      <c r="H75" s="34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2:28">
      <c r="B76" s="34"/>
      <c r="C76" s="34"/>
      <c r="D76" s="34"/>
      <c r="E76" s="34"/>
      <c r="F76" s="34"/>
      <c r="G76" s="34"/>
      <c r="H76" s="34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2:28">
      <c r="B77" s="34"/>
      <c r="C77" s="34"/>
      <c r="D77" s="34"/>
      <c r="E77" s="34"/>
      <c r="F77" s="34"/>
      <c r="G77" s="34"/>
      <c r="H77" s="34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2:28">
      <c r="B78" s="34"/>
      <c r="C78" s="34"/>
      <c r="D78" s="34"/>
      <c r="E78" s="34"/>
      <c r="F78" s="34"/>
      <c r="G78" s="34"/>
      <c r="H78" s="34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2:28">
      <c r="B79" s="34"/>
      <c r="C79" s="34"/>
      <c r="D79" s="34"/>
      <c r="E79" s="34"/>
      <c r="F79" s="34"/>
      <c r="G79" s="34"/>
      <c r="H79" s="34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2:28">
      <c r="B80" s="34"/>
      <c r="C80" s="34"/>
      <c r="D80" s="34"/>
      <c r="E80" s="34"/>
      <c r="F80" s="34"/>
      <c r="G80" s="34"/>
      <c r="H80" s="34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2:28">
      <c r="B81" s="34"/>
      <c r="C81" s="34"/>
      <c r="D81" s="34"/>
      <c r="E81" s="34"/>
      <c r="F81" s="34"/>
      <c r="G81" s="34"/>
      <c r="H81" s="34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2:28">
      <c r="B82" s="34"/>
      <c r="C82" s="34"/>
      <c r="D82" s="34"/>
      <c r="E82" s="34"/>
      <c r="F82" s="34"/>
      <c r="G82" s="34"/>
      <c r="H82" s="34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2:28">
      <c r="B83" s="34"/>
      <c r="C83" s="34"/>
      <c r="D83" s="34"/>
      <c r="E83" s="34"/>
      <c r="F83" s="34"/>
      <c r="G83" s="34"/>
      <c r="H83" s="34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2:28">
      <c r="B84" s="34"/>
      <c r="C84" s="34"/>
      <c r="D84" s="34"/>
      <c r="E84" s="34"/>
      <c r="F84" s="34"/>
      <c r="G84" s="34"/>
      <c r="H84" s="3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2:28">
      <c r="B85" s="34"/>
      <c r="C85" s="34"/>
      <c r="D85" s="34"/>
      <c r="E85" s="34"/>
      <c r="F85" s="34"/>
      <c r="G85" s="34"/>
      <c r="H85" s="3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2:28">
      <c r="B86" s="34"/>
      <c r="C86" s="34"/>
      <c r="D86" s="34"/>
      <c r="E86" s="34"/>
      <c r="F86" s="34"/>
      <c r="G86" s="34"/>
      <c r="H86" s="34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2:28">
      <c r="B87" s="34"/>
      <c r="C87" s="34"/>
      <c r="D87" s="34"/>
      <c r="E87" s="34"/>
      <c r="F87" s="34"/>
      <c r="G87" s="34"/>
      <c r="H87" s="34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2:28">
      <c r="B88" s="34"/>
      <c r="C88" s="34"/>
      <c r="D88" s="34"/>
      <c r="E88" s="34"/>
      <c r="F88" s="34"/>
      <c r="G88" s="34"/>
      <c r="H88" s="34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2:28">
      <c r="B89" s="34"/>
      <c r="C89" s="34"/>
      <c r="D89" s="34"/>
      <c r="E89" s="34"/>
      <c r="F89" s="34"/>
      <c r="G89" s="34"/>
      <c r="H89" s="34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2:28">
      <c r="B90" s="34"/>
      <c r="C90" s="34"/>
      <c r="D90" s="34"/>
      <c r="E90" s="34"/>
      <c r="F90" s="34"/>
      <c r="G90" s="34"/>
      <c r="H90" s="34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2:28">
      <c r="B91" s="34"/>
      <c r="C91" s="34"/>
      <c r="D91" s="34"/>
      <c r="E91" s="34"/>
      <c r="F91" s="34"/>
      <c r="G91" s="34"/>
      <c r="H91" s="34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2:28">
      <c r="B92" s="34"/>
      <c r="C92" s="34"/>
      <c r="D92" s="34"/>
      <c r="E92" s="34"/>
      <c r="F92" s="34"/>
      <c r="G92" s="34"/>
      <c r="H92" s="34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2:28">
      <c r="B93" s="34"/>
      <c r="C93" s="34"/>
      <c r="D93" s="34"/>
      <c r="E93" s="34"/>
      <c r="F93" s="34"/>
      <c r="G93" s="34"/>
      <c r="H93" s="34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2:28">
      <c r="B94" s="34"/>
      <c r="C94" s="34"/>
      <c r="D94" s="34"/>
      <c r="E94" s="34"/>
      <c r="F94" s="34"/>
      <c r="G94" s="34"/>
      <c r="H94" s="34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2:28">
      <c r="B95" s="34"/>
      <c r="C95" s="34"/>
      <c r="D95" s="34"/>
      <c r="E95" s="34"/>
      <c r="F95" s="34"/>
      <c r="G95" s="34"/>
      <c r="H95" s="34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2:28">
      <c r="B96" s="34"/>
      <c r="C96" s="34"/>
      <c r="D96" s="34"/>
      <c r="E96" s="34"/>
      <c r="F96" s="34"/>
      <c r="G96" s="34"/>
      <c r="H96" s="34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2:28">
      <c r="B97" s="34"/>
      <c r="C97" s="34"/>
      <c r="D97" s="34"/>
      <c r="E97" s="34"/>
      <c r="F97" s="34"/>
      <c r="G97" s="34"/>
      <c r="H97" s="34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2:28">
      <c r="B98" s="34"/>
      <c r="C98" s="34"/>
      <c r="D98" s="34"/>
      <c r="E98" s="34"/>
      <c r="F98" s="34"/>
      <c r="G98" s="34"/>
      <c r="H98" s="34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2:28">
      <c r="B99" s="34"/>
      <c r="C99" s="34"/>
      <c r="D99" s="34"/>
      <c r="E99" s="34"/>
      <c r="F99" s="34"/>
      <c r="G99" s="34"/>
      <c r="H99" s="34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2:28">
      <c r="B100" s="34"/>
      <c r="C100" s="34"/>
      <c r="D100" s="34"/>
      <c r="E100" s="34"/>
      <c r="F100" s="34"/>
      <c r="G100" s="34"/>
      <c r="H100" s="34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2:28">
      <c r="B101" s="34"/>
      <c r="C101" s="34"/>
      <c r="D101" s="34"/>
      <c r="E101" s="34"/>
      <c r="F101" s="34"/>
      <c r="G101" s="34"/>
      <c r="H101" s="34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2:28">
      <c r="B102" s="34"/>
      <c r="C102" s="34"/>
      <c r="D102" s="34"/>
      <c r="E102" s="34"/>
      <c r="F102" s="34"/>
      <c r="G102" s="34"/>
      <c r="H102" s="34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2:28">
      <c r="B103" s="34"/>
      <c r="C103" s="34"/>
      <c r="D103" s="34"/>
      <c r="E103" s="34"/>
      <c r="F103" s="34"/>
      <c r="G103" s="34"/>
      <c r="H103" s="34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2:28">
      <c r="B104" s="34"/>
      <c r="C104" s="34"/>
      <c r="D104" s="34"/>
      <c r="E104" s="34"/>
      <c r="F104" s="34"/>
      <c r="G104" s="34"/>
      <c r="H104" s="34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2:28">
      <c r="B105" s="34"/>
      <c r="C105" s="34"/>
      <c r="D105" s="34"/>
      <c r="E105" s="34"/>
      <c r="F105" s="34"/>
      <c r="G105" s="34"/>
      <c r="H105" s="34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2:28">
      <c r="B106" s="34"/>
      <c r="C106" s="34"/>
      <c r="D106" s="34"/>
      <c r="E106" s="34"/>
      <c r="F106" s="34"/>
      <c r="G106" s="34"/>
      <c r="H106" s="34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2:28">
      <c r="B107" s="34"/>
      <c r="C107" s="34"/>
      <c r="D107" s="34"/>
      <c r="E107" s="34"/>
      <c r="F107" s="34"/>
      <c r="G107" s="34"/>
      <c r="H107" s="34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2:28">
      <c r="B108" s="34"/>
      <c r="C108" s="34"/>
      <c r="D108" s="34"/>
      <c r="E108" s="34"/>
      <c r="F108" s="34"/>
      <c r="G108" s="34"/>
      <c r="H108" s="34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2:28">
      <c r="B109" s="34"/>
      <c r="C109" s="34"/>
      <c r="D109" s="34"/>
      <c r="E109" s="34"/>
      <c r="F109" s="34"/>
      <c r="G109" s="34"/>
      <c r="H109" s="34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2:28">
      <c r="B110" s="34"/>
      <c r="C110" s="34"/>
      <c r="D110" s="34"/>
      <c r="E110" s="34"/>
      <c r="F110" s="34"/>
      <c r="G110" s="34"/>
      <c r="H110" s="34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2:28">
      <c r="B111" s="34"/>
      <c r="C111" s="34"/>
      <c r="D111" s="34"/>
      <c r="E111" s="34"/>
      <c r="F111" s="34"/>
      <c r="G111" s="34"/>
      <c r="H111" s="34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2:28">
      <c r="B112" s="34"/>
      <c r="C112" s="34"/>
      <c r="D112" s="34"/>
      <c r="E112" s="34"/>
      <c r="F112" s="34"/>
      <c r="G112" s="34"/>
      <c r="H112" s="34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2:28">
      <c r="B113" s="34"/>
      <c r="C113" s="34"/>
      <c r="D113" s="34"/>
      <c r="E113" s="34"/>
      <c r="F113" s="34"/>
      <c r="G113" s="34"/>
      <c r="H113" s="34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2:28">
      <c r="B114" s="34"/>
      <c r="C114" s="34"/>
      <c r="D114" s="34"/>
      <c r="E114" s="34"/>
      <c r="F114" s="34"/>
      <c r="G114" s="34"/>
      <c r="H114" s="34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2:28">
      <c r="B115" s="34"/>
      <c r="C115" s="34"/>
      <c r="D115" s="34"/>
      <c r="E115" s="34"/>
      <c r="F115" s="34"/>
      <c r="G115" s="34"/>
      <c r="H115" s="34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2:28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spans="2:28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2:28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spans="2:28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2:28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  <row r="121" spans="2:28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</row>
    <row r="122" spans="2:28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</row>
    <row r="123" spans="2:28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spans="2:28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</row>
    <row r="125" spans="2:28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</row>
    <row r="126" spans="2:28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spans="2:28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</row>
    <row r="128" spans="2:28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</row>
    <row r="129" spans="2:13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</row>
    <row r="130" spans="2:13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</row>
    <row r="131" spans="2:13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</row>
    <row r="132" spans="2:13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</row>
    <row r="133" spans="2:13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</row>
    <row r="134" spans="2:13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2:13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</row>
    <row r="136" spans="2:13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2:13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</row>
    <row r="138" spans="2:13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</row>
    <row r="139" spans="2:13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</row>
    <row r="140" spans="2:13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</row>
    <row r="141" spans="2:13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</row>
    <row r="142" spans="2:13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 spans="2:13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</row>
    <row r="144" spans="2:13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</row>
    <row r="145" spans="2:13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</row>
    <row r="146" spans="2:13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</row>
    <row r="147" spans="2:13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</row>
    <row r="148" spans="2:13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2:13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</row>
    <row r="150" spans="2:13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</row>
    <row r="151" spans="2:13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2:13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2:13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2:13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2:13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2:13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2:13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2:13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2:13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</row>
    <row r="160" spans="2:13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</row>
    <row r="161" spans="2:13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</row>
    <row r="162" spans="2:13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2:13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</row>
    <row r="164" spans="2:13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</row>
    <row r="165" spans="2:13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</row>
    <row r="166" spans="2:13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</row>
    <row r="167" spans="2:13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</row>
    <row r="168" spans="2:13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</row>
    <row r="169" spans="2:13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</row>
    <row r="170" spans="2:13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</row>
    <row r="171" spans="2:13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</row>
    <row r="172" spans="2:13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</row>
    <row r="173" spans="2:13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</row>
    <row r="174" spans="2:13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</row>
    <row r="175" spans="2:13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2:13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</row>
    <row r="177" spans="2:13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</row>
    <row r="178" spans="2:13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</row>
    <row r="179" spans="2:13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</row>
    <row r="180" spans="2:13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</row>
    <row r="181" spans="2:13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</row>
    <row r="182" spans="2:13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</row>
    <row r="183" spans="2:13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</row>
    <row r="184" spans="2:13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</row>
    <row r="185" spans="2:13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</row>
    <row r="186" spans="2:13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</row>
    <row r="187" spans="2:13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2:13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</row>
    <row r="189" spans="2:13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</row>
    <row r="190" spans="2:13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</row>
    <row r="191" spans="2:13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</row>
    <row r="192" spans="2:13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</row>
    <row r="193" spans="2:13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</row>
    <row r="194" spans="2:13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2:13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</row>
    <row r="196" spans="2:13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</row>
    <row r="197" spans="2:13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</row>
    <row r="198" spans="2:13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</row>
    <row r="199" spans="2:13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</row>
    <row r="200" spans="2:13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</row>
    <row r="201" spans="2:13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</row>
    <row r="202" spans="2:13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</row>
    <row r="203" spans="2:13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</row>
    <row r="204" spans="2:13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</row>
    <row r="205" spans="2:13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</row>
    <row r="206" spans="2:13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</row>
    <row r="207" spans="2:13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</row>
    <row r="208" spans="2:13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</row>
    <row r="209" spans="2:13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</row>
    <row r="210" spans="2:13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</row>
    <row r="211" spans="2:13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</row>
    <row r="212" spans="2:13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</row>
    <row r="213" spans="2:13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2:13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</row>
    <row r="215" spans="2:13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</row>
    <row r="216" spans="2:13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</row>
    <row r="217" spans="2:13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</row>
    <row r="218" spans="2:13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</row>
    <row r="219" spans="2:13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</row>
    <row r="220" spans="2:13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</row>
    <row r="221" spans="2:13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</row>
    <row r="222" spans="2:13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</row>
    <row r="223" spans="2:13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</row>
    <row r="224" spans="2:13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</row>
    <row r="225" spans="2:13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</row>
    <row r="226" spans="2:13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</row>
    <row r="227" spans="2:13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</row>
    <row r="228" spans="2:13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</row>
    <row r="229" spans="2:13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</row>
    <row r="230" spans="2:13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</row>
    <row r="231" spans="2:13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</row>
    <row r="232" spans="2:13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2:13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</row>
    <row r="234" spans="2:13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</row>
    <row r="235" spans="2:13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</row>
    <row r="236" spans="2:13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</row>
    <row r="237" spans="2:13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</row>
    <row r="238" spans="2:13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</row>
    <row r="239" spans="2:13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</row>
    <row r="240" spans="2:13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</row>
    <row r="241" spans="2:13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</row>
    <row r="242" spans="2:13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</row>
    <row r="243" spans="2:13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</row>
    <row r="244" spans="2:13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</row>
    <row r="245" spans="2:13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</row>
    <row r="246" spans="2:13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</row>
    <row r="247" spans="2:13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</row>
    <row r="248" spans="2:13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</row>
    <row r="249" spans="2:13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</row>
    <row r="250" spans="2:13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</row>
    <row r="251" spans="2:13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</row>
    <row r="252" spans="2:13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</row>
    <row r="253" spans="2:13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</row>
    <row r="254" spans="2:13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</row>
    <row r="255" spans="2:13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</row>
    <row r="256" spans="2:13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</row>
    <row r="257" spans="2:13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</row>
    <row r="258" spans="2:13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</row>
    <row r="259" spans="2:13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</row>
    <row r="260" spans="2:13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</row>
    <row r="261" spans="2:13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</row>
    <row r="262" spans="2:13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</row>
    <row r="263" spans="2:13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</row>
    <row r="264" spans="2:13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</row>
    <row r="265" spans="2:13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</row>
    <row r="266" spans="2:13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</row>
    <row r="267" spans="2:13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</row>
    <row r="268" spans="2:13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</row>
    <row r="269" spans="2:13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</row>
    <row r="270" spans="2:13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</row>
    <row r="271" spans="2:13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</row>
    <row r="272" spans="2:13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</row>
    <row r="273" spans="2:13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</row>
    <row r="274" spans="2:13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</row>
    <row r="275" spans="2:13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</row>
    <row r="276" spans="2:13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</row>
    <row r="277" spans="2:13"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</row>
    <row r="278" spans="2:13"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</row>
    <row r="279" spans="2:13"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</row>
    <row r="280" spans="2:13"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</row>
    <row r="281" spans="2:13"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</row>
    <row r="282" spans="2:13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</row>
    <row r="283" spans="2:13"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</row>
    <row r="284" spans="2:13"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</row>
    <row r="285" spans="2:13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</row>
    <row r="286" spans="2:13"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</row>
    <row r="287" spans="2:13"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</row>
    <row r="288" spans="2:13"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</row>
    <row r="289" spans="2:13"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</row>
    <row r="290" spans="2:13"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</row>
    <row r="291" spans="2:13"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</row>
    <row r="292" spans="2:13"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</row>
    <row r="293" spans="2:13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</row>
    <row r="294" spans="2:13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</row>
    <row r="295" spans="2:13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</row>
    <row r="296" spans="2:13"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</row>
    <row r="297" spans="2:13"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</row>
    <row r="298" spans="2:13"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</row>
    <row r="299" spans="2:13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</row>
    <row r="300" spans="2:13"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</row>
    <row r="301" spans="2:13"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</row>
    <row r="302" spans="2:13"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</row>
    <row r="303" spans="2:13"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</row>
    <row r="304" spans="2:13"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</row>
    <row r="305" spans="2:13"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</row>
    <row r="306" spans="2:13"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</row>
    <row r="307" spans="2:13"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</row>
    <row r="308" spans="2:13"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</row>
    <row r="309" spans="2:13"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</row>
    <row r="310" spans="2:13"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</row>
    <row r="311" spans="2:13"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</row>
    <row r="312" spans="2:13"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</row>
    <row r="313" spans="2:13"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</row>
    <row r="314" spans="2:13"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</row>
    <row r="315" spans="2:13"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</row>
    <row r="316" spans="2:13"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</row>
    <row r="317" spans="2:13"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</row>
    <row r="318" spans="2:13"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</row>
    <row r="319" spans="2:13"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</row>
    <row r="320" spans="2:13"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</row>
    <row r="321" spans="2:13"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</row>
    <row r="322" spans="2:13"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</row>
    <row r="323" spans="2:13"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</row>
    <row r="324" spans="2:13"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</row>
    <row r="325" spans="2:13"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</row>
    <row r="326" spans="2:13"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</row>
    <row r="327" spans="2:13"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</row>
    <row r="328" spans="2:13"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</row>
    <row r="329" spans="2:13"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</row>
    <row r="330" spans="2:13"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</row>
    <row r="331" spans="2:13"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</row>
    <row r="332" spans="2:13"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</row>
    <row r="333" spans="2:13"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</row>
    <row r="334" spans="2:13"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</row>
    <row r="335" spans="2:13"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</row>
  </sheetData>
  <sheetProtection selectLockedCells="1"/>
  <sortState xmlns:xlrd2="http://schemas.microsoft.com/office/spreadsheetml/2017/richdata2" ref="B16:E22">
    <sortCondition descending="1" ref="B16"/>
  </sortState>
  <mergeCells count="4">
    <mergeCell ref="B22:C22"/>
    <mergeCell ref="D11:F11"/>
    <mergeCell ref="D9:F9"/>
    <mergeCell ref="D8:F8"/>
  </mergeCells>
  <phoneticPr fontId="3" type="noConversion"/>
  <conditionalFormatting sqref="H9">
    <cfRule type="expression" dxfId="1" priority="1">
      <formula>$H$9&lt;0</formula>
    </cfRule>
    <cfRule type="expression" dxfId="0" priority="2">
      <formula>$H$9&gt;1</formula>
    </cfRule>
  </conditionalFormatting>
  <dataValidations count="2">
    <dataValidation type="list" allowBlank="1" showInputMessage="1" showErrorMessage="1" sqref="C8" xr:uid="{00000000-0002-0000-0000-000000000000}">
      <formula1>"Pre-Seed, Seed, Series A, Series B"</formula1>
    </dataValidation>
    <dataValidation type="list" allowBlank="1" showInputMessage="1" showErrorMessage="1" sqref="D16:D21" xr:uid="{00000000-0002-0000-0000-000001000000}">
      <formula1>"1,2,3,4,5"</formula1>
    </dataValidation>
  </dataValidations>
  <hyperlinks>
    <hyperlink ref="D22" r:id="rId1" xr:uid="{00000000-0004-0000-0000-000000000000}"/>
  </hyperlinks>
  <pageMargins left="0.7" right="0.7" top="0.78740157499999996" bottom="0.78740157499999996" header="0.3" footer="0.3"/>
  <pageSetup paperSize="9" scale="37" orientation="portrait" r:id="rId2"/>
  <colBreaks count="1" manualBreakCount="1">
    <brk id="9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9841FD8AD684D9BBBBE6861180B4A" ma:contentTypeVersion="8" ma:contentTypeDescription="Create a new document." ma:contentTypeScope="" ma:versionID="e48cb37361b5ba3612ab0c56e0d0c829">
  <xsd:schema xmlns:xsd="http://www.w3.org/2001/XMLSchema" xmlns:xs="http://www.w3.org/2001/XMLSchema" xmlns:p="http://schemas.microsoft.com/office/2006/metadata/properties" xmlns:ns3="ed9ba415-f61a-439e-867b-ef9e66bcc771" targetNamespace="http://schemas.microsoft.com/office/2006/metadata/properties" ma:root="true" ma:fieldsID="e2677a21d8b77ad3771d677e8a0029fd" ns3:_="">
    <xsd:import namespace="ed9ba415-f61a-439e-867b-ef9e66bcc7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ba415-f61a-439e-867b-ef9e66bcc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48B23-C7D7-4640-A9A3-8D7130B112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88319-7AF3-421A-B654-81E162108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9ba415-f61a-439e-867b-ef9e66bcc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2FF203-ABCD-42E1-9CD6-D3D915F605EB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ed9ba415-f61a-439e-867b-ef9e66bcc771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VC Rating Method | Venionaire</vt:lpstr>
      <vt:lpstr>'VC Rating Method | Venionaire'!Druckbereich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Peikoff, Leonardo</dc:creator>
  <cp:keywords/>
  <dc:description/>
  <cp:lastModifiedBy>Microsoft Office User</cp:lastModifiedBy>
  <cp:revision/>
  <dcterms:created xsi:type="dcterms:W3CDTF">2020-04-06T13:24:01Z</dcterms:created>
  <dcterms:modified xsi:type="dcterms:W3CDTF">2020-05-14T08:49:25Z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0x010100A939841FD8AD684D9BBBBE6861180B4A</vt:lpwstr>
  </property>
</Properties>
</file>